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rb/Documents/WebSite/Other excel apps uploaded to website/"/>
    </mc:Choice>
  </mc:AlternateContent>
  <workbookProtection workbookPassword="DA1F" lockStructure="1"/>
  <bookViews>
    <workbookView xWindow="1440" yWindow="460" windowWidth="21780" windowHeight="15460" tabRatio="500"/>
  </bookViews>
  <sheets>
    <sheet name="SPL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8" i="1" l="1"/>
  <c r="T18" i="1"/>
  <c r="T20" i="1"/>
  <c r="T21" i="1"/>
  <c r="T19" i="1"/>
  <c r="T22" i="1"/>
  <c r="T24" i="1"/>
  <c r="S26" i="1"/>
  <c r="R26" i="1"/>
  <c r="R29" i="1"/>
  <c r="S27" i="1"/>
  <c r="S29" i="1"/>
  <c r="S31" i="1"/>
  <c r="T26" i="1"/>
  <c r="T27" i="1"/>
  <c r="T29" i="1"/>
  <c r="T31" i="1"/>
  <c r="R33" i="1"/>
  <c r="R34" i="1"/>
  <c r="G7" i="1"/>
  <c r="F7" i="1"/>
  <c r="E14" i="1"/>
  <c r="L41" i="1"/>
  <c r="M41" i="1"/>
  <c r="L42" i="1"/>
  <c r="L44" i="1"/>
  <c r="M42" i="1"/>
  <c r="M44" i="1"/>
  <c r="M46" i="1"/>
  <c r="N41" i="1"/>
  <c r="N42" i="1"/>
  <c r="N44" i="1"/>
  <c r="N46" i="1"/>
  <c r="F14" i="1"/>
  <c r="O41" i="1"/>
  <c r="O42" i="1"/>
  <c r="O44" i="1"/>
  <c r="O46" i="1"/>
  <c r="L47" i="1"/>
  <c r="L49" i="1"/>
  <c r="L50" i="1"/>
  <c r="G5" i="1"/>
  <c r="S38" i="1"/>
  <c r="R27" i="1"/>
  <c r="F6" i="1"/>
  <c r="L46" i="1"/>
</calcChain>
</file>

<file path=xl/sharedStrings.xml><?xml version="1.0" encoding="utf-8"?>
<sst xmlns="http://schemas.openxmlformats.org/spreadsheetml/2006/main" count="40" uniqueCount="30">
  <si>
    <t>Electronic Growth Charts - Stretched Penile Length</t>
  </si>
  <si>
    <t>© 2014 - Dr Andrew Biggin - v1.0</t>
  </si>
  <si>
    <t>Date of birth:</t>
  </si>
  <si>
    <t>or, decimal age in years:</t>
  </si>
  <si>
    <t>Measured SPL (cm)</t>
  </si>
  <si>
    <t>Age/measurement to use:</t>
  </si>
  <si>
    <t>Age (years)</t>
  </si>
  <si>
    <t>Median</t>
  </si>
  <si>
    <t>LO SD</t>
  </si>
  <si>
    <t>HI SD</t>
  </si>
  <si>
    <t>lo lookup</t>
  </si>
  <si>
    <t>hi lookup</t>
  </si>
  <si>
    <t>proportion</t>
  </si>
  <si>
    <t>vals to use</t>
  </si>
  <si>
    <t>sd to use</t>
  </si>
  <si>
    <t>z score</t>
  </si>
  <si>
    <t>centile</t>
  </si>
  <si>
    <t>Gestation</t>
  </si>
  <si>
    <t>Mean</t>
  </si>
  <si>
    <t>SD</t>
  </si>
  <si>
    <t>or, gestation for newborn:</t>
  </si>
  <si>
    <t>Entered gestation field</t>
  </si>
  <si>
    <t>whole weeks as number</t>
  </si>
  <si>
    <t>position of plus</t>
  </si>
  <si>
    <t>number of days</t>
  </si>
  <si>
    <t>no plus</t>
  </si>
  <si>
    <t>decimal gestation</t>
  </si>
  <si>
    <t>SPL (mm)</t>
  </si>
  <si>
    <t>gest age</t>
  </si>
  <si>
    <t>Data derived from Shonfeld &amp; Beebe (1942), J Urol, 48, 759 &amp; Feldman &amp; Smith (1975), J Pediatr, 86:395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</si>
</sst>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9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2" fontId="0" fillId="0" borderId="0" xfId="0" applyNumberFormat="1"/>
    <xf numFmtId="1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14" fontId="1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14"/>
            <c:spPr>
              <a:noFill/>
              <a:ln w="19050" cmpd="sng">
                <a:solidFill>
                  <a:srgbClr val="FF0000"/>
                </a:solidFill>
              </a:ln>
            </c:spPr>
          </c:marker>
          <c:xVal>
            <c:numRef>
              <c:f>SPL!$E$14</c:f>
              <c:numCache>
                <c:formatCode>0.00</c:formatCode>
                <c:ptCount val="1"/>
                <c:pt idx="0">
                  <c:v>2.257534246575342</c:v>
                </c:pt>
              </c:numCache>
            </c:numRef>
          </c:xVal>
          <c:yVal>
            <c:numRef>
              <c:f>SPL!$F$14</c:f>
              <c:numCache>
                <c:formatCode>0.00</c:formatCode>
                <c:ptCount val="1"/>
                <c:pt idx="0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0533024"/>
        <c:axId val="-93421008"/>
      </c:scatterChart>
      <c:valAx>
        <c:axId val="-310533024"/>
        <c:scaling>
          <c:orientation val="minMax"/>
          <c:max val="20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 (years)</a:t>
                </a:r>
              </a:p>
            </c:rich>
          </c:tx>
          <c:layout>
            <c:manualLayout>
              <c:xMode val="edge"/>
              <c:yMode val="edge"/>
              <c:x val="0.473029002372784"/>
              <c:y val="0.9392207792207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-93421008"/>
        <c:crossesAt val="0.0"/>
        <c:crossBetween val="midCat"/>
        <c:majorUnit val="1.0"/>
        <c:minorUnit val="0.2"/>
      </c:valAx>
      <c:valAx>
        <c:axId val="-93421008"/>
        <c:scaling>
          <c:orientation val="minMax"/>
          <c:max val="16.0"/>
          <c:min val="0.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Stretched Penile Length (cm)</a:t>
                </a:r>
              </a:p>
            </c:rich>
          </c:tx>
          <c:layout>
            <c:manualLayout>
              <c:xMode val="edge"/>
              <c:yMode val="edge"/>
              <c:x val="0.00767754318618042"/>
              <c:y val="0.2647542693526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-310533024"/>
        <c:crossesAt val="0.0"/>
        <c:crossBetween val="midCat"/>
        <c:majorUnit val="2.0"/>
        <c:minorUnit val="0.4"/>
      </c:valAx>
      <c:spPr>
        <a:blipFill rotWithShape="1">
          <a:blip xmlns:r="http://schemas.openxmlformats.org/officeDocument/2006/relationships" r:embed="rId1"/>
          <a:stretch>
            <a:fillRect/>
          </a:stretch>
        </a:blipFill>
      </c:spPr>
    </c:plotArea>
    <c:plotVisOnly val="0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14"/>
            <c:spPr>
              <a:ln w="19050" cmpd="sng">
                <a:solidFill>
                  <a:srgbClr val="FF0000"/>
                </a:solidFill>
              </a:ln>
            </c:spPr>
          </c:marker>
          <c:xVal>
            <c:numRef>
              <c:f>SPL!$S$38</c:f>
              <c:numCache>
                <c:formatCode>General</c:formatCode>
                <c:ptCount val="1"/>
                <c:pt idx="0">
                  <c:v>0.0</c:v>
                </c:pt>
              </c:numCache>
            </c:numRef>
          </c:xVal>
          <c:yVal>
            <c:numRef>
              <c:f>SPL!$T$38</c:f>
              <c:numCache>
                <c:formatCode>General</c:formatCode>
                <c:ptCount val="1"/>
                <c:pt idx="0">
                  <c:v>15.0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3998288"/>
        <c:axId val="-93503008"/>
      </c:scatterChart>
      <c:valAx>
        <c:axId val="-93998288"/>
        <c:scaling>
          <c:orientation val="minMax"/>
          <c:max val="40.0"/>
          <c:min val="27.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Gestation</a:t>
                </a:r>
              </a:p>
            </c:rich>
          </c:tx>
          <c:layout>
            <c:manualLayout>
              <c:xMode val="edge"/>
              <c:yMode val="edge"/>
              <c:x val="0.455612012030166"/>
              <c:y val="0.92351097178683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-93503008"/>
        <c:crossesAt val="0.0"/>
        <c:crossBetween val="midCat"/>
        <c:majorUnit val="1.0"/>
        <c:minorUnit val="1.0"/>
      </c:valAx>
      <c:valAx>
        <c:axId val="-93503008"/>
        <c:scaling>
          <c:orientation val="minMax"/>
          <c:max val="50.0"/>
          <c:min val="10.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SPL</a:t>
                </a:r>
                <a:r>
                  <a:rPr lang="en-US" sz="1200" baseline="0"/>
                  <a:t> (mm)</a:t>
                </a:r>
                <a:endParaRPr lang="en-US" sz="1200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-93998288"/>
        <c:crossesAt val="0.0"/>
        <c:crossBetween val="midCat"/>
        <c:majorUnit val="4.0"/>
        <c:minorUnit val="1.0"/>
      </c:valAx>
      <c:spPr>
        <a:blipFill rotWithShape="1">
          <a:blip xmlns:r="http://schemas.openxmlformats.org/officeDocument/2006/relationships" r:embed="rId1"/>
          <a:stretch>
            <a:fillRect/>
          </a:stretch>
        </a:blipFill>
      </c:spPr>
    </c:plotArea>
    <c:plotVisOnly val="0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Relationship Id="rId2" Type="http://schemas.openxmlformats.org/officeDocument/2006/relationships/chart" Target="../charts/chart1.xml"/><Relationship Id="rId3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152400</xdr:rowOff>
    </xdr:from>
    <xdr:to>
      <xdr:col>1</xdr:col>
      <xdr:colOff>431800</xdr:colOff>
      <xdr:row>11</xdr:row>
      <xdr:rowOff>108915</xdr:rowOff>
    </xdr:to>
    <xdr:pic>
      <xdr:nvPicPr>
        <xdr:cNvPr id="2" name="Picture 1" descr="webweemee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52400"/>
          <a:ext cx="965200" cy="212821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15</xdr:row>
      <xdr:rowOff>25400</xdr:rowOff>
    </xdr:from>
    <xdr:to>
      <xdr:col>8</xdr:col>
      <xdr:colOff>114300</xdr:colOff>
      <xdr:row>40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139700</xdr:colOff>
      <xdr:row>41</xdr:row>
      <xdr:rowOff>165100</xdr:rowOff>
    </xdr:from>
    <xdr:to>
      <xdr:col>8</xdr:col>
      <xdr:colOff>114300</xdr:colOff>
      <xdr:row>63</xdr:row>
      <xdr:rowOff>25400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50"/>
  <sheetViews>
    <sheetView showGridLines="0" showRowColHeaders="0" tabSelected="1" zoomScale="75" workbookViewId="0">
      <pane ySplit="14" topLeftCell="A15" activePane="bottomLeft" state="frozen"/>
      <selection pane="bottomLeft" activeCell="E9" sqref="E9"/>
    </sheetView>
  </sheetViews>
  <sheetFormatPr baseColWidth="10" defaultRowHeight="16" x14ac:dyDescent="0.2"/>
  <cols>
    <col min="3" max="3" width="11.33203125" customWidth="1"/>
    <col min="5" max="5" width="11" bestFit="1" customWidth="1"/>
    <col min="6" max="6" width="10.83203125" customWidth="1"/>
    <col min="10" max="22" width="0" hidden="1" customWidth="1"/>
  </cols>
  <sheetData>
    <row r="1" spans="3:21" x14ac:dyDescent="0.2">
      <c r="L1" s="8" t="s">
        <v>6</v>
      </c>
      <c r="M1" s="9" t="s">
        <v>7</v>
      </c>
      <c r="N1" s="8" t="s">
        <v>8</v>
      </c>
      <c r="O1" s="8" t="s">
        <v>9</v>
      </c>
      <c r="P1" s="8"/>
      <c r="R1" s="8" t="s">
        <v>17</v>
      </c>
      <c r="S1" s="8" t="s">
        <v>18</v>
      </c>
      <c r="T1" s="8" t="s">
        <v>19</v>
      </c>
      <c r="U1" s="8"/>
    </row>
    <row r="2" spans="3:21" ht="19" x14ac:dyDescent="0.25">
      <c r="C2" s="7" t="s">
        <v>0</v>
      </c>
      <c r="L2" s="8">
        <v>0.5</v>
      </c>
      <c r="M2" s="8">
        <v>3.6</v>
      </c>
      <c r="N2" s="8">
        <v>0.93636497528685492</v>
      </c>
      <c r="O2" s="8">
        <v>1.0924258045013304</v>
      </c>
      <c r="P2" s="8"/>
      <c r="R2" s="8">
        <v>27</v>
      </c>
      <c r="S2">
        <v>21</v>
      </c>
      <c r="T2">
        <v>3.5999999999999996</v>
      </c>
    </row>
    <row r="3" spans="3:21" ht="19" x14ac:dyDescent="0.25">
      <c r="C3" s="7" t="s">
        <v>1</v>
      </c>
      <c r="L3" s="8">
        <v>1</v>
      </c>
      <c r="M3" s="8">
        <v>4.2</v>
      </c>
      <c r="N3" s="8">
        <v>1.1704562191085686</v>
      </c>
      <c r="O3" s="8">
        <v>1.0924258045013302</v>
      </c>
      <c r="P3" s="8"/>
      <c r="R3" s="8">
        <v>28</v>
      </c>
      <c r="S3">
        <v>22.5</v>
      </c>
      <c r="T3">
        <v>3.5999999999999996</v>
      </c>
    </row>
    <row r="4" spans="3:21" x14ac:dyDescent="0.2">
      <c r="L4" s="8">
        <v>1.5</v>
      </c>
      <c r="M4" s="8">
        <v>4.5</v>
      </c>
      <c r="N4" s="8">
        <v>1.1704562191085686</v>
      </c>
      <c r="O4" s="8">
        <v>1.0924258045013309</v>
      </c>
      <c r="P4" s="8"/>
      <c r="R4" s="8">
        <v>29</v>
      </c>
      <c r="S4">
        <v>23.8</v>
      </c>
      <c r="T4">
        <v>3.5999999999999996</v>
      </c>
    </row>
    <row r="5" spans="3:21" x14ac:dyDescent="0.2">
      <c r="C5" t="s">
        <v>2</v>
      </c>
      <c r="E5" s="3">
        <v>42235</v>
      </c>
      <c r="G5" s="12" t="str">
        <f ca="1">IF(E14=-1,"",IF(F14=-1,"","Centile: "&amp;ROUND(L50,1)&amp;" / Z-score: "&amp;ROUND(L49,2)))</f>
        <v>Centile: 0.3 / Z-score: -2.73</v>
      </c>
      <c r="L5" s="8">
        <v>2</v>
      </c>
      <c r="M5" s="8">
        <v>4.8</v>
      </c>
      <c r="N5" s="8">
        <v>1.248486633715806</v>
      </c>
      <c r="O5" s="8">
        <v>1.0924258045013309</v>
      </c>
      <c r="P5" s="8"/>
      <c r="R5" s="8">
        <v>30</v>
      </c>
      <c r="S5">
        <v>25</v>
      </c>
      <c r="T5">
        <v>3.5999999999999996</v>
      </c>
    </row>
    <row r="6" spans="3:21" x14ac:dyDescent="0.2">
      <c r="C6" t="s">
        <v>3</v>
      </c>
      <c r="E6" s="4"/>
      <c r="F6" s="6" t="str">
        <f>IF(E6="","",IF(E5="","","DOB has been used to calculate current age, entered age has been ignored"))</f>
        <v/>
      </c>
      <c r="H6" s="1"/>
      <c r="L6" s="8">
        <v>2.5</v>
      </c>
      <c r="M6" s="8">
        <v>5</v>
      </c>
      <c r="N6" s="8">
        <v>1.2484866337158065</v>
      </c>
      <c r="O6" s="8">
        <v>1.1704562191085686</v>
      </c>
      <c r="P6" s="8"/>
      <c r="R6" s="8">
        <v>31</v>
      </c>
      <c r="S6">
        <v>26.5</v>
      </c>
      <c r="T6">
        <v>3.6500000000000004</v>
      </c>
    </row>
    <row r="7" spans="3:21" x14ac:dyDescent="0.2">
      <c r="C7" t="s">
        <v>20</v>
      </c>
      <c r="E7" s="10"/>
      <c r="F7" s="13" t="str">
        <f>IF(E7="","",IF(E9="","","------&gt;"))</f>
        <v/>
      </c>
      <c r="G7" s="12" t="str">
        <f>IF(E7="","",IF(E9="","","Centile: "&amp;ROUND(R34,1)&amp;" / Z-score: "&amp;ROUND(R33,2)))</f>
        <v/>
      </c>
      <c r="L7" s="8">
        <v>3</v>
      </c>
      <c r="M7" s="8">
        <v>5.4</v>
      </c>
      <c r="N7" s="8">
        <v>1.2484866337158067</v>
      </c>
      <c r="O7" s="8">
        <v>1.0924258045013302</v>
      </c>
      <c r="P7" s="8"/>
      <c r="R7" s="8">
        <v>32</v>
      </c>
      <c r="S7">
        <v>27.6</v>
      </c>
      <c r="T7">
        <v>3.6000000000000014</v>
      </c>
    </row>
    <row r="8" spans="3:21" x14ac:dyDescent="0.2">
      <c r="L8" s="8">
        <v>3.5</v>
      </c>
      <c r="M8" s="8">
        <v>5.6</v>
      </c>
      <c r="N8" s="8">
        <v>1.3265170483230442</v>
      </c>
      <c r="O8" s="8">
        <v>1.0924258045013309</v>
      </c>
      <c r="P8" s="8"/>
      <c r="R8" s="8">
        <v>33</v>
      </c>
      <c r="S8">
        <v>29.1</v>
      </c>
      <c r="T8">
        <v>3.7000000000000011</v>
      </c>
    </row>
    <row r="9" spans="3:21" x14ac:dyDescent="0.2">
      <c r="C9" t="s">
        <v>4</v>
      </c>
      <c r="E9" s="5">
        <v>1.5</v>
      </c>
      <c r="L9" s="8">
        <v>4</v>
      </c>
      <c r="M9" s="8">
        <v>5.7</v>
      </c>
      <c r="N9" s="8">
        <v>1.2484866337158067</v>
      </c>
      <c r="O9" s="8">
        <v>1.0924258045013302</v>
      </c>
      <c r="P9" s="8"/>
      <c r="R9" s="8">
        <v>34</v>
      </c>
      <c r="S9">
        <v>30.4</v>
      </c>
      <c r="T9">
        <v>3.75</v>
      </c>
    </row>
    <row r="10" spans="3:21" x14ac:dyDescent="0.2">
      <c r="L10" s="8">
        <v>4.5</v>
      </c>
      <c r="M10" s="8">
        <v>5.7</v>
      </c>
      <c r="N10" s="8">
        <v>1.1704562191085686</v>
      </c>
      <c r="O10" s="8">
        <v>1.0924258045013302</v>
      </c>
      <c r="P10" s="8"/>
      <c r="R10" s="8">
        <v>35</v>
      </c>
      <c r="S10">
        <v>31.7</v>
      </c>
      <c r="T10">
        <v>3.6999999999999993</v>
      </c>
    </row>
    <row r="11" spans="3:21" x14ac:dyDescent="0.2">
      <c r="C11" s="11" t="s">
        <v>29</v>
      </c>
      <c r="L11" s="8">
        <v>5</v>
      </c>
      <c r="M11" s="8">
        <v>5.9</v>
      </c>
      <c r="N11" s="8">
        <v>1.1704562191085686</v>
      </c>
      <c r="O11" s="8">
        <v>1.0924258045013302</v>
      </c>
      <c r="P11" s="8"/>
      <c r="R11" s="8">
        <v>36</v>
      </c>
      <c r="S11">
        <v>33</v>
      </c>
      <c r="T11">
        <v>3.75</v>
      </c>
    </row>
    <row r="12" spans="3:21" x14ac:dyDescent="0.2">
      <c r="L12" s="8">
        <v>5.5</v>
      </c>
      <c r="M12" s="8">
        <v>5.9</v>
      </c>
      <c r="N12" s="8">
        <v>1.1704562191085686</v>
      </c>
      <c r="O12" s="8">
        <v>1.0924258045013302</v>
      </c>
      <c r="P12" s="8"/>
      <c r="R12" s="8">
        <v>37</v>
      </c>
      <c r="S12">
        <v>34.299999999999997</v>
      </c>
      <c r="T12">
        <v>3.6999999999999993</v>
      </c>
    </row>
    <row r="13" spans="3:21" hidden="1" x14ac:dyDescent="0.2">
      <c r="L13" s="8">
        <v>6</v>
      </c>
      <c r="M13" s="8">
        <v>5.9</v>
      </c>
      <c r="N13" s="8">
        <v>1.0924258045013309</v>
      </c>
      <c r="O13" s="8">
        <v>1.0924258045013302</v>
      </c>
      <c r="P13" s="8"/>
      <c r="R13" s="8">
        <v>38</v>
      </c>
      <c r="S13">
        <v>35.700000000000003</v>
      </c>
      <c r="T13">
        <v>3.6500000000000021</v>
      </c>
    </row>
    <row r="14" spans="3:21" hidden="1" x14ac:dyDescent="0.2">
      <c r="C14" t="s">
        <v>5</v>
      </c>
      <c r="E14" s="2">
        <f ca="1">IF(E5="",IF(E6="",-1,E6),IF((TODAY()-E5)/365&lt;0.5,-1,(TODAY()-E5)/365))</f>
        <v>2.2575342465753425</v>
      </c>
      <c r="F14" s="2">
        <f>IF(E9="",-1,E9)</f>
        <v>1.5</v>
      </c>
      <c r="L14" s="8">
        <v>6.5</v>
      </c>
      <c r="M14" s="8">
        <v>6</v>
      </c>
      <c r="N14" s="8">
        <v>1.1704562191085686</v>
      </c>
      <c r="O14" s="8">
        <v>1.0143953898940925</v>
      </c>
      <c r="P14" s="8"/>
      <c r="R14" s="8">
        <v>39</v>
      </c>
      <c r="S14">
        <v>37</v>
      </c>
      <c r="T14">
        <v>3.75</v>
      </c>
    </row>
    <row r="15" spans="3:21" x14ac:dyDescent="0.2">
      <c r="L15" s="8">
        <v>7</v>
      </c>
      <c r="M15" s="8">
        <v>6</v>
      </c>
      <c r="N15" s="8">
        <v>1.0924258045013309</v>
      </c>
      <c r="O15" s="8">
        <v>1.0143953898940925</v>
      </c>
      <c r="P15" s="8"/>
      <c r="R15" s="8">
        <v>40</v>
      </c>
      <c r="S15">
        <v>38.200000000000003</v>
      </c>
      <c r="T15">
        <v>3.6500000000000021</v>
      </c>
    </row>
    <row r="16" spans="3:21" x14ac:dyDescent="0.2">
      <c r="L16" s="8">
        <v>7.5</v>
      </c>
      <c r="M16" s="8">
        <v>6.1</v>
      </c>
      <c r="N16" s="8">
        <v>1.0924258045013302</v>
      </c>
      <c r="O16" s="8">
        <v>1.0143953898940932</v>
      </c>
      <c r="P16" s="8"/>
    </row>
    <row r="17" spans="12:20" x14ac:dyDescent="0.2">
      <c r="L17" s="8">
        <v>8</v>
      </c>
      <c r="M17" s="8">
        <v>6</v>
      </c>
      <c r="N17" s="8">
        <v>1.0143953898940925</v>
      </c>
      <c r="O17" s="8">
        <v>1.0924258045013309</v>
      </c>
      <c r="P17" s="8"/>
    </row>
    <row r="18" spans="12:20" x14ac:dyDescent="0.2">
      <c r="L18" s="8">
        <v>8.5</v>
      </c>
      <c r="M18" s="8">
        <v>6</v>
      </c>
      <c r="N18" s="8">
        <v>0.93636497528685492</v>
      </c>
      <c r="O18" s="8">
        <v>1.0924258045013309</v>
      </c>
      <c r="P18" s="8"/>
      <c r="R18" t="s">
        <v>21</v>
      </c>
      <c r="T18">
        <f>E7</f>
        <v>0</v>
      </c>
    </row>
    <row r="19" spans="12:20" x14ac:dyDescent="0.2">
      <c r="L19" s="8">
        <v>9</v>
      </c>
      <c r="M19" s="8">
        <v>6</v>
      </c>
      <c r="N19" s="8">
        <v>1.0143953898940925</v>
      </c>
      <c r="O19" s="8">
        <v>1.0924258045013309</v>
      </c>
      <c r="P19" s="8"/>
      <c r="R19" t="s">
        <v>22</v>
      </c>
      <c r="T19">
        <f>VALUE(LEFT(T18,2))</f>
        <v>0</v>
      </c>
    </row>
    <row r="20" spans="12:20" x14ac:dyDescent="0.2">
      <c r="L20" s="8">
        <v>9.5</v>
      </c>
      <c r="M20" s="8">
        <v>6</v>
      </c>
      <c r="N20" s="8">
        <v>1.0143953898940925</v>
      </c>
      <c r="O20" s="8">
        <v>1.1704562191085686</v>
      </c>
      <c r="P20" s="8"/>
      <c r="R20" t="s">
        <v>23</v>
      </c>
      <c r="T20" t="e">
        <f>SEARCH("+",T18)</f>
        <v>#VALUE!</v>
      </c>
    </row>
    <row r="21" spans="12:20" x14ac:dyDescent="0.2">
      <c r="L21" s="8">
        <v>10</v>
      </c>
      <c r="M21" s="8">
        <v>6.1</v>
      </c>
      <c r="N21" s="8">
        <v>1.1704562191085686</v>
      </c>
      <c r="O21" s="8">
        <v>1.2484866337158067</v>
      </c>
      <c r="P21" s="8"/>
      <c r="R21" t="s">
        <v>25</v>
      </c>
      <c r="T21" t="b">
        <f>ISERROR(T20)</f>
        <v>1</v>
      </c>
    </row>
    <row r="22" spans="12:20" x14ac:dyDescent="0.2">
      <c r="L22" s="8">
        <v>10.5</v>
      </c>
      <c r="M22" s="8">
        <v>6.1</v>
      </c>
      <c r="N22" s="8">
        <v>1.1704562191085686</v>
      </c>
      <c r="O22" s="8">
        <v>1.4825778775375205</v>
      </c>
      <c r="P22" s="8"/>
      <c r="R22" t="s">
        <v>24</v>
      </c>
      <c r="T22">
        <f>IF(T21=TRUE,0,VALUE(RIGHT(T18,1)))</f>
        <v>0</v>
      </c>
    </row>
    <row r="23" spans="12:20" x14ac:dyDescent="0.2">
      <c r="L23" s="8">
        <v>11</v>
      </c>
      <c r="M23" s="8">
        <v>6.2</v>
      </c>
      <c r="N23" s="8">
        <v>1.1704562191085686</v>
      </c>
      <c r="O23" s="8">
        <v>1.716669121359234</v>
      </c>
      <c r="P23" s="8"/>
    </row>
    <row r="24" spans="12:20" x14ac:dyDescent="0.2">
      <c r="L24" s="8">
        <v>11.5</v>
      </c>
      <c r="M24" s="8">
        <v>6.4</v>
      </c>
      <c r="N24" s="8">
        <v>1.2484866337158067</v>
      </c>
      <c r="O24" s="8">
        <v>1.8727299505737098</v>
      </c>
      <c r="P24" s="8"/>
      <c r="R24" t="s">
        <v>26</v>
      </c>
      <c r="T24">
        <f>T19+(T22/7)</f>
        <v>0</v>
      </c>
    </row>
    <row r="25" spans="12:20" x14ac:dyDescent="0.2">
      <c r="L25" s="8">
        <v>12</v>
      </c>
      <c r="M25" s="8">
        <v>6.7</v>
      </c>
      <c r="N25" s="8">
        <v>1.2484866337158067</v>
      </c>
      <c r="O25" s="8">
        <v>2.1068211943954234</v>
      </c>
      <c r="P25" s="8"/>
    </row>
    <row r="26" spans="12:20" x14ac:dyDescent="0.2">
      <c r="L26" s="8">
        <v>12.5</v>
      </c>
      <c r="M26" s="8">
        <v>7.2</v>
      </c>
      <c r="N26" s="8">
        <v>1.4045474629302821</v>
      </c>
      <c r="O26" s="8">
        <v>2.2628820236098988</v>
      </c>
      <c r="P26" s="8"/>
      <c r="Q26" t="s">
        <v>10</v>
      </c>
      <c r="R26" t="e">
        <f>VLOOKUP(T24,R2:T15,1)</f>
        <v>#N/A</v>
      </c>
      <c r="S26" t="e">
        <f>VLOOKUP(T24,R2:T15,2)</f>
        <v>#N/A</v>
      </c>
      <c r="T26" t="e">
        <f>VLOOKUP(T24,R2:T15,3)</f>
        <v>#N/A</v>
      </c>
    </row>
    <row r="27" spans="12:20" x14ac:dyDescent="0.2">
      <c r="L27" s="8">
        <v>13</v>
      </c>
      <c r="M27" s="8">
        <v>7.9</v>
      </c>
      <c r="N27" s="8">
        <v>1.716669121359234</v>
      </c>
      <c r="O27" s="8">
        <v>2.6530340966460888</v>
      </c>
      <c r="P27" s="8"/>
      <c r="Q27" t="s">
        <v>11</v>
      </c>
      <c r="R27" t="e">
        <f>VLOOKUP(T24+1,R2:T15,1)</f>
        <v>#N/A</v>
      </c>
      <c r="S27" t="e">
        <f>VLOOKUP(T24+1,R2:T15,2)</f>
        <v>#N/A</v>
      </c>
      <c r="T27" t="e">
        <f>VLOOKUP(T24+1,R2:T15,3)</f>
        <v>#N/A</v>
      </c>
    </row>
    <row r="28" spans="12:20" x14ac:dyDescent="0.2">
      <c r="L28" s="8">
        <v>13.5</v>
      </c>
      <c r="M28" s="8">
        <v>8.9</v>
      </c>
      <c r="N28" s="8">
        <v>1.9507603651809475</v>
      </c>
      <c r="O28" s="8">
        <v>2.8871253404678017</v>
      </c>
      <c r="P28" s="8"/>
    </row>
    <row r="29" spans="12:20" x14ac:dyDescent="0.2">
      <c r="L29" s="8">
        <v>14</v>
      </c>
      <c r="M29" s="8">
        <v>9.6999999999999993</v>
      </c>
      <c r="N29" s="8">
        <v>1.9507603651809469</v>
      </c>
      <c r="O29" s="8">
        <v>2.887125340467803</v>
      </c>
      <c r="P29" s="8"/>
      <c r="Q29" t="s">
        <v>12</v>
      </c>
      <c r="R29" t="e">
        <f>(T24-R26)</f>
        <v>#N/A</v>
      </c>
      <c r="S29" t="e">
        <f>S26+(R29*(S27-S26))</f>
        <v>#N/A</v>
      </c>
      <c r="T29" t="e">
        <f>T26+(R29*(T27-T26))</f>
        <v>#N/A</v>
      </c>
    </row>
    <row r="30" spans="12:20" x14ac:dyDescent="0.2">
      <c r="L30" s="8">
        <v>14.5</v>
      </c>
      <c r="M30" s="8">
        <v>10.3</v>
      </c>
      <c r="N30" s="8">
        <v>1.7946995359664721</v>
      </c>
      <c r="O30" s="8">
        <v>2.8090949258605642</v>
      </c>
      <c r="P30" s="8"/>
    </row>
    <row r="31" spans="12:20" x14ac:dyDescent="0.2">
      <c r="L31" s="8">
        <v>15</v>
      </c>
      <c r="M31" s="8">
        <v>10.9</v>
      </c>
      <c r="N31" s="8">
        <v>1.7946995359664721</v>
      </c>
      <c r="O31" s="8">
        <v>2.6530340966460888</v>
      </c>
      <c r="P31" s="8"/>
      <c r="Q31" t="s">
        <v>13</v>
      </c>
      <c r="S31" t="e">
        <f>IF(T21=FALSE,S29,S26)</f>
        <v>#N/A</v>
      </c>
      <c r="T31" t="e">
        <f>IF(T21=FALSE,T29,T26)</f>
        <v>#N/A</v>
      </c>
    </row>
    <row r="32" spans="12:20" x14ac:dyDescent="0.2">
      <c r="L32" s="8">
        <v>15.5</v>
      </c>
      <c r="M32" s="8">
        <v>11.4</v>
      </c>
      <c r="N32" s="8">
        <v>1.7946995359664721</v>
      </c>
      <c r="O32" s="8">
        <v>2.4969732674316121</v>
      </c>
      <c r="P32" s="8"/>
    </row>
    <row r="33" spans="11:20" x14ac:dyDescent="0.2">
      <c r="L33" s="8">
        <v>16</v>
      </c>
      <c r="M33" s="8">
        <v>11.9</v>
      </c>
      <c r="N33" s="8">
        <v>1.7946995359664721</v>
      </c>
      <c r="O33" s="8">
        <v>2.3409124382171371</v>
      </c>
      <c r="P33" s="8"/>
      <c r="Q33" t="s">
        <v>15</v>
      </c>
      <c r="R33" t="e">
        <f>(T38-S31)/T31</f>
        <v>#N/A</v>
      </c>
    </row>
    <row r="34" spans="11:20" x14ac:dyDescent="0.2">
      <c r="L34" s="8">
        <v>16.5</v>
      </c>
      <c r="M34" s="8">
        <v>12.2</v>
      </c>
      <c r="N34" s="8">
        <v>1.7166691213592333</v>
      </c>
      <c r="O34" s="8">
        <v>2.1848516090026617</v>
      </c>
      <c r="P34" s="8"/>
      <c r="Q34" t="s">
        <v>16</v>
      </c>
      <c r="R34" t="e">
        <f>100*NORMSDIST(R33)</f>
        <v>#N/A</v>
      </c>
    </row>
    <row r="35" spans="11:20" x14ac:dyDescent="0.2">
      <c r="L35" s="8">
        <v>17</v>
      </c>
      <c r="M35" s="8">
        <v>12.6</v>
      </c>
      <c r="N35" s="8">
        <v>1.7946995359664708</v>
      </c>
      <c r="O35" s="8">
        <v>2.028790779788185</v>
      </c>
      <c r="P35" s="8"/>
    </row>
    <row r="36" spans="11:20" x14ac:dyDescent="0.2">
      <c r="L36" s="8">
        <v>17.5</v>
      </c>
      <c r="M36" s="8">
        <v>12.8</v>
      </c>
      <c r="N36" s="8">
        <v>1.7946995359664721</v>
      </c>
      <c r="O36" s="8">
        <v>1.8727299505737085</v>
      </c>
      <c r="P36" s="8"/>
    </row>
    <row r="37" spans="11:20" x14ac:dyDescent="0.2">
      <c r="L37" s="8">
        <v>18</v>
      </c>
      <c r="M37" s="8">
        <v>12.9</v>
      </c>
      <c r="N37" s="8">
        <v>1.7946995359664721</v>
      </c>
      <c r="O37" s="8">
        <v>1.8727299505737098</v>
      </c>
      <c r="P37" s="8"/>
      <c r="S37" t="s">
        <v>28</v>
      </c>
      <c r="T37" t="s">
        <v>27</v>
      </c>
    </row>
    <row r="38" spans="11:20" x14ac:dyDescent="0.2">
      <c r="S38">
        <f>T24</f>
        <v>0</v>
      </c>
      <c r="T38">
        <f>E9*10</f>
        <v>15</v>
      </c>
    </row>
    <row r="39" spans="11:20" x14ac:dyDescent="0.2">
      <c r="L39" s="8" t="s">
        <v>6</v>
      </c>
      <c r="M39" s="9" t="s">
        <v>7</v>
      </c>
      <c r="N39" s="8" t="s">
        <v>8</v>
      </c>
      <c r="O39" s="8" t="s">
        <v>9</v>
      </c>
      <c r="P39" s="8"/>
    </row>
    <row r="41" spans="11:20" x14ac:dyDescent="0.2">
      <c r="K41" t="s">
        <v>10</v>
      </c>
      <c r="L41">
        <f ca="1">VLOOKUP($E$14,$L$2:$O$37,1)</f>
        <v>2</v>
      </c>
      <c r="M41">
        <f ca="1">VLOOKUP($E$14,$L$2:$O$37,2)</f>
        <v>4.8</v>
      </c>
      <c r="N41">
        <f ca="1">VLOOKUP($E$14,$L$2:$O$37,3)</f>
        <v>1.248486633715806</v>
      </c>
      <c r="O41">
        <f ca="1">VLOOKUP($E$14,$L$2:$O$37,4)</f>
        <v>1.0924258045013309</v>
      </c>
    </row>
    <row r="42" spans="11:20" x14ac:dyDescent="0.2">
      <c r="K42" t="s">
        <v>11</v>
      </c>
      <c r="L42">
        <f ca="1">VLOOKUP($E$14+0.5,$L$2:$O$37,1)</f>
        <v>2.5</v>
      </c>
      <c r="M42">
        <f ca="1">VLOOKUP($E$14+0.5,$L$2:$O$37,2)</f>
        <v>5</v>
      </c>
      <c r="N42">
        <f ca="1">VLOOKUP($E$14+0.5,$L$2:$O$37,3)</f>
        <v>1.2484866337158065</v>
      </c>
      <c r="O42">
        <f ca="1">VLOOKUP($E$14+0.5,$L$2:$O$37,4)</f>
        <v>1.1704562191085686</v>
      </c>
    </row>
    <row r="44" spans="11:20" x14ac:dyDescent="0.2">
      <c r="K44" t="s">
        <v>12</v>
      </c>
      <c r="L44" s="2">
        <f ca="1">(E14-L41)/(L42-L41)</f>
        <v>0.51506849315068504</v>
      </c>
      <c r="M44">
        <f ca="1">M41+($L$44*(M42-M41))</f>
        <v>4.9030136986301365</v>
      </c>
      <c r="N44">
        <f t="shared" ref="N44" ca="1" si="0">N41+($L$44*(N42-N41))</f>
        <v>1.2484866337158063</v>
      </c>
      <c r="O44">
        <f ca="1">O41+($L$44*(O42-O41))</f>
        <v>1.1326168125730041</v>
      </c>
    </row>
    <row r="46" spans="11:20" x14ac:dyDescent="0.2">
      <c r="K46" t="s">
        <v>13</v>
      </c>
      <c r="L46">
        <f ca="1">IF($E$14-$L$41=0,L41,L44)</f>
        <v>0.51506849315068504</v>
      </c>
      <c r="M46">
        <f t="shared" ref="M46:N46" ca="1" si="1">IF($E$14-$L$41=0,M41,M44)</f>
        <v>4.9030136986301365</v>
      </c>
      <c r="N46">
        <f t="shared" ca="1" si="1"/>
        <v>1.2484866337158063</v>
      </c>
      <c r="O46">
        <f ca="1">IF($E$14-$L$41=0,O41,O44)</f>
        <v>1.1326168125730041</v>
      </c>
    </row>
    <row r="47" spans="11:20" x14ac:dyDescent="0.2">
      <c r="K47" t="s">
        <v>14</v>
      </c>
      <c r="L47">
        <f ca="1">IF(F14&lt;M46,N46,O46)</f>
        <v>1.2484866337158063</v>
      </c>
    </row>
    <row r="49" spans="11:12" x14ac:dyDescent="0.2">
      <c r="K49" t="s">
        <v>15</v>
      </c>
      <c r="L49">
        <f ca="1">(F14-M46)/L47</f>
        <v>-2.7257109581557333</v>
      </c>
    </row>
    <row r="50" spans="11:12" x14ac:dyDescent="0.2">
      <c r="K50" t="s">
        <v>16</v>
      </c>
      <c r="L50">
        <f ca="1">100*NORMSDIST(L49)</f>
        <v>0.32081579635551433</v>
      </c>
    </row>
  </sheetData>
  <sheetProtection password="DA1F" sheet="1" objects="1" scenarios="1" selectLockedCells="1"/>
  <dataValidations count="2">
    <dataValidation type="decimal" allowBlank="1" showInputMessage="1" showErrorMessage="1" sqref="E9">
      <formula1>0</formula1>
      <formula2>30</formula2>
    </dataValidation>
    <dataValidation type="decimal" allowBlank="1" showInputMessage="1" showErrorMessage="1" sqref="E6">
      <formula1>0.5</formula1>
      <formula2>18</formula2>
    </dataValidation>
  </dataValidations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Biggin</dc:creator>
  <cp:lastModifiedBy>Andrew Biggin</cp:lastModifiedBy>
  <dcterms:created xsi:type="dcterms:W3CDTF">2014-02-15T01:45:43Z</dcterms:created>
  <dcterms:modified xsi:type="dcterms:W3CDTF">2017-11-20T04:57:31Z</dcterms:modified>
</cp:coreProperties>
</file>